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<sst xmlns="http://schemas.openxmlformats.org/spreadsheetml/2006/main" count="1424" uniqueCount="259">
  <si>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</si>
  <si>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</si>
  <si>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</si>
  <si>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</si>
  <si>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</si>
  <si>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</si>
  <si>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</si>
  <si>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</si>
  <si>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</si>
  <si>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</si>
  <si>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</si>
  <si>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</si>
  <si>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</si>
  <si>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</si>
  <si>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</si>
  <si>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</si>
  <si>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</si>
  <si>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</si>
  <si>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</si>
  <si>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</si>
  <si>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</si>
  <si>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</si>
  <si>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</si>
  <si>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</si>
  <si>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</si>
  <si>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</si>
  <si>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</si>
  <si>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</si>
  <si>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</si>
  <si>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</si>
  <si>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</si>
  <si>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</si>
  <si>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</si>
  <si>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</si>
  <si>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</si>
  <si>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</si>
  <si>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</si>
  <si>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</si>
  <si>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</si>
  <si>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</si>
  <si>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</si>
  <si>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</si>
  <si>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</si>
  <si>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</si>
  <si>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</si>
  <si>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</si>
  <si>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</si>
  <si>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</si>
  <si>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</si>
  <si>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</si>
  <si>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</si>
  <si>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</si>
  <si>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</si>
  <si>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</si>
  <si>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</si>
  <si>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</si>
  <si>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</si>
  <si>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</si>
  <si>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</si>
  <si>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</si>
  <si>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</si>
  <si>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</si>
  <si>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</si>
  <si>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</si>
  <si>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</si>
  <si>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</si>
  <si>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</si>
  <si>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</si>
  <si>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</si>
  <si>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</si>
  <si>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</si>
  <si>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</si>
  <si>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</si>
  <si>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</si>
  <si>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</si>
  <si>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</si>
  <si>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</si>
  <si>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</si>
  <si>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</si>
  <si>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</si>
  <si>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</si>
  <si>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</si>
  <si>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</si>
  <si>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</si>
  <si>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</si>
  <si>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</si>
  <si>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</si>
  <si>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</si>
  <si>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</si>
  <si>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</si>
  <si>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</si>
  <si>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</si>
  <si>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</si>
  <si>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</si>
  <si>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</si>
  <si>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</si>
  <si>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</si>
  <si>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</si>
  <si>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</si>
  <si>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</si>
  <si>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</si>
  <si>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</si>
  <si>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</si>
  <si>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</si>
  <si>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</si>
  <si>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</si>
  <si>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</si>
  <si>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</si>
  <si>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</si>
  <si>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</si>
  <si>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</si>
  <si>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</si>
  <si>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</si>
  <si>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</si>
  <si>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</si>
  <si>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</si>
  <si>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</si>
  <si>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</si>
  <si>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</si>
  <si>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</si>
  <si>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</si>
  <si>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</si>
  <si>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</si>
  <si>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</si>
  <si>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</si>
  <si>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</si>
  <si>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</si>
  <si>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</si>
  <si>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</si>
  <si>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</si>
  <si>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</si>
  <si>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</si>
  <si>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</si>
  <si>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</si>
  <si>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</si>
  <si>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</si>
  <si>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</si>
  <si>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</si>
  <si>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</si>
  <si>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</si>
  <si>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</si>
  <si>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</si>
  <si>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</si>
  <si>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</si>
  <si>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</si>
  <si>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</si>
  <si>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</si>
  <si>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</si>
  <si>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</si>
  <si>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</si>
  <si>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</si>
  <si>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</si>
  <si>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</si>
  <si>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</si>
  <si>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</si>
  <si>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</si>
  <si>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</si>
  <si>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</si>
  <si>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</si>
  <si>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</si>
  <si>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</si>
  <si>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</si>
  <si>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</si>
  <si>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</si>
  <si>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</si>
  <si>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</si>
  <si>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</si>
  <si>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</si>
  <si>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</si>
  <si>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</si>
  <si>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</si>
  <si>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</si>
  <si>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</si>
  <si>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</si>
  <si>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</si>
  <si>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</si>
  <si>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</si>
  <si>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</si>
  <si>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</si>
  <si>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</si>
  <si>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</si>
  <si>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</si>
  <si>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</si>
  <si>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</si>
  <si>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</si>
  <si>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</si>
  <si>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</si>
  <si>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</si>
  <si>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</si>
  <si>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</si>
  <si>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</si>
  <si>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</si>
  <si>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</si>
  <si>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</si>
  <si>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</si>
  <si>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</si>
  <si>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</si>
  <si>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</si>
  <si>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</si>
  <si>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</si>
  <si>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</si>
  <si>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</si>
  <si>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</si>
  <si>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</si>
  <si>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</si>
  <si>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</si>
  <si>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</si>
  <si>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</si>
  <si>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</si>
  <si>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</si>
  <si>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</si>
  <si>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</si>
  <si>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</si>
  <si>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</si>
  <si>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</si>
  <si>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</si>
  <si>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</si>
  <si>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</si>
  <si>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</si>
  <si>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</si>
  <si>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</si>
  <si>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</si>
  <si>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</si>
  <si>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</si>
  <si>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</si>
  <si>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</si>
  <si>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</si>
  <si>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</si>
  <si>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</si>
  <si>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</si>
  <si>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</si>
  <si>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</si>
  <si>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</si>
  <si>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</si>
  <si>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</si>
  <si>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</si>
  <si>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</si>
  <si>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</si>
  <si>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</si>
  <si>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</si>
  <si>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</si>
  <si>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</si>
  <si>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</si>
  <si>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</si>
  <si>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</si>
  <si>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</si>
  <si>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</si>
  <si>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</si>
  <si>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</si>
  <si>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</si>
  <si>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</si>
  <si>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</si>
  <si>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</si>
  <si>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</si>
  <si>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</si>
  <si>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</si>
  <si>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</si>
  <si>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22.07.14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</si>
  <si>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454,1449,5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</si>
</sst>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33357198.979999993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8" sqref="D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252506.16000000003</v>
      </c>
      <c r="G8" s="22">
        <f aca="true" t="shared" si="0" ref="G8:G30">F8-E8</f>
        <v>-18728.54999999993</v>
      </c>
      <c r="H8" s="51">
        <f>F8/E8*100</f>
        <v>93.09507621646215</v>
      </c>
      <c r="I8" s="36">
        <f aca="true" t="shared" si="1" ref="I8:I17">F8-D8</f>
        <v>-235970.13999999996</v>
      </c>
      <c r="J8" s="36">
        <f aca="true" t="shared" si="2" ref="J8:J14">F8/D8*100</f>
        <v>51.692612313023176</v>
      </c>
      <c r="K8" s="36">
        <f>F8-267884.5</f>
        <v>-15378.339999999967</v>
      </c>
      <c r="L8" s="136">
        <f>F8/267884.5</f>
        <v>0.9425933937947139</v>
      </c>
      <c r="M8" s="22">
        <f>M10+M19+M33+M56+M68+M30</f>
        <v>37968.180000000015</v>
      </c>
      <c r="N8" s="22">
        <f>N10+N19+N33+N56+N68+N30</f>
        <v>26087.139999999996</v>
      </c>
      <c r="O8" s="36">
        <f aca="true" t="shared" si="3" ref="O8:O71">N8-M8</f>
        <v>-11881.040000000019</v>
      </c>
      <c r="P8" s="36">
        <f>F8/M8*100</f>
        <v>665.0467839122126</v>
      </c>
      <c r="Q8" s="36">
        <f>N8-39945.7</f>
        <v>-13858.560000000001</v>
      </c>
      <c r="R8" s="134">
        <f>N8/39945.7</f>
        <v>0.6530650357860796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206412.75</v>
      </c>
      <c r="G9" s="22">
        <f t="shared" si="0"/>
        <v>206412.75</v>
      </c>
      <c r="H9" s="20"/>
      <c r="I9" s="56">
        <f t="shared" si="1"/>
        <v>-180600.45</v>
      </c>
      <c r="J9" s="56">
        <f t="shared" si="2"/>
        <v>53.33480873520593</v>
      </c>
      <c r="K9" s="56"/>
      <c r="L9" s="135"/>
      <c r="M9" s="20">
        <f>M10+M17</f>
        <v>30824.800000000017</v>
      </c>
      <c r="N9" s="20">
        <f>N10+N17</f>
        <v>23414.619999999995</v>
      </c>
      <c r="O9" s="36">
        <f t="shared" si="3"/>
        <v>-7410.180000000022</v>
      </c>
      <c r="P9" s="56">
        <f>F9/M9*100</f>
        <v>669.6320819599799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206412.75</v>
      </c>
      <c r="G10" s="49">
        <f t="shared" si="0"/>
        <v>-14958.350000000006</v>
      </c>
      <c r="H10" s="40">
        <f aca="true" t="shared" si="4" ref="H10:H17">F10/E10*100</f>
        <v>93.24286232484728</v>
      </c>
      <c r="I10" s="56">
        <f t="shared" si="1"/>
        <v>-180600.45</v>
      </c>
      <c r="J10" s="56">
        <f t="shared" si="2"/>
        <v>53.33480873520593</v>
      </c>
      <c r="K10" s="141">
        <f>F10-211325.8</f>
        <v>-4913.049999999988</v>
      </c>
      <c r="L10" s="142">
        <f>F10/211325.8</f>
        <v>0.9767513005984125</v>
      </c>
      <c r="M10" s="40">
        <f>E10-червень!E10</f>
        <v>30824.800000000017</v>
      </c>
      <c r="N10" s="40">
        <f>F10-червень!F10</f>
        <v>23414.619999999995</v>
      </c>
      <c r="O10" s="53">
        <f t="shared" si="3"/>
        <v>-7410.180000000022</v>
      </c>
      <c r="P10" s="56">
        <f aca="true" t="shared" si="5" ref="P10:P17">N10/M10*100</f>
        <v>75.96033064285893</v>
      </c>
      <c r="Q10" s="141">
        <f>N10-32192.1</f>
        <v>-8777.480000000003</v>
      </c>
      <c r="R10" s="142">
        <f>N10/32192.1</f>
        <v>0.7273405587085029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337.1</v>
      </c>
      <c r="G19" s="49">
        <f t="shared" si="0"/>
        <v>-696.4999999999999</v>
      </c>
      <c r="H19" s="40">
        <f aca="true" t="shared" si="6" ref="H19:H29">F19/E19*100</f>
        <v>32.61416408668731</v>
      </c>
      <c r="I19" s="56">
        <f aca="true" t="shared" si="7" ref="I19:I29">F19-D19</f>
        <v>-662.9</v>
      </c>
      <c r="J19" s="56">
        <f aca="true" t="shared" si="8" ref="J19:J29">F19/D19*100</f>
        <v>33.71</v>
      </c>
      <c r="K19" s="56">
        <f>F19-6042.8</f>
        <v>-5705.7</v>
      </c>
      <c r="L19" s="135">
        <f>F19/6042.8</f>
        <v>0.05578539749784868</v>
      </c>
      <c r="M19" s="40">
        <f>E19-червень!E19</f>
        <v>10.999999999999886</v>
      </c>
      <c r="N19" s="40">
        <f>F19-червень!F19</f>
        <v>19.230000000000018</v>
      </c>
      <c r="O19" s="53">
        <f t="shared" si="3"/>
        <v>8.230000000000132</v>
      </c>
      <c r="P19" s="56">
        <f aca="true" t="shared" si="9" ref="P19:P29">N19/M19*100</f>
        <v>174.81818181818377</v>
      </c>
      <c r="Q19" s="56">
        <f>N19-422.4</f>
        <v>-403.16999999999996</v>
      </c>
      <c r="R19" s="135">
        <f>N19/422.4</f>
        <v>0.04552556818181823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2.92</v>
      </c>
      <c r="G30" s="49">
        <f t="shared" si="0"/>
        <v>-15.58</v>
      </c>
      <c r="H30" s="40"/>
      <c r="I30" s="56"/>
      <c r="J30" s="56"/>
      <c r="K30" s="56">
        <f>F30-25.1</f>
        <v>-22.18</v>
      </c>
      <c r="L30" s="149">
        <f>F30/25.1</f>
        <v>0.11633466135458166</v>
      </c>
      <c r="M30" s="40">
        <f>E30-червень!E30</f>
        <v>0.5</v>
      </c>
      <c r="N30" s="40">
        <f>F30-червень!F30</f>
        <v>0.009999999999999787</v>
      </c>
      <c r="O30" s="53">
        <f t="shared" si="3"/>
        <v>-0.4900000000000002</v>
      </c>
      <c r="P30" s="56"/>
      <c r="Q30" s="56">
        <f>N30-0</f>
        <v>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42000.97</v>
      </c>
      <c r="G33" s="49">
        <f aca="true" t="shared" si="14" ref="G33:G72">F33-E33</f>
        <v>-2860.1399999999994</v>
      </c>
      <c r="H33" s="40">
        <f aca="true" t="shared" si="15" ref="H33:H67">F33/E33*100</f>
        <v>93.62445556964596</v>
      </c>
      <c r="I33" s="56">
        <f>F33-D33</f>
        <v>-51565.03</v>
      </c>
      <c r="J33" s="56">
        <f aca="true" t="shared" si="16" ref="J33:J72">F33/D33*100</f>
        <v>44.88913707970844</v>
      </c>
      <c r="K33" s="141">
        <f>F33-46836.9</f>
        <v>-4835.93</v>
      </c>
      <c r="L33" s="142">
        <f>F33/46836.9</f>
        <v>0.896749571384955</v>
      </c>
      <c r="M33" s="40">
        <f>E33-червень!E33</f>
        <v>6579.879999999997</v>
      </c>
      <c r="N33" s="40">
        <f>F33-червень!F33</f>
        <v>2167.9100000000035</v>
      </c>
      <c r="O33" s="53">
        <f t="shared" si="3"/>
        <v>-4411.969999999994</v>
      </c>
      <c r="P33" s="56">
        <f aca="true" t="shared" si="17" ref="P33:P67">N33/M33*100</f>
        <v>32.94756135370257</v>
      </c>
      <c r="Q33" s="141">
        <f>N33-6866.9</f>
        <v>-4698.989999999996</v>
      </c>
      <c r="R33" s="142">
        <f>N33/6866.9</f>
        <v>0.31570432072696614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31385.99</v>
      </c>
      <c r="G55" s="144">
        <f t="shared" si="14"/>
        <v>-1724.819999999996</v>
      </c>
      <c r="H55" s="146">
        <f t="shared" si="15"/>
        <v>94.79076470796095</v>
      </c>
      <c r="I55" s="145">
        <f t="shared" si="18"/>
        <v>-38880.009999999995</v>
      </c>
      <c r="J55" s="145">
        <f t="shared" si="16"/>
        <v>44.66739248000456</v>
      </c>
      <c r="K55" s="148">
        <f>F55-33694.14</f>
        <v>-2308.149999999998</v>
      </c>
      <c r="L55" s="149">
        <f>F55/33694.14</f>
        <v>0.9314969902778347</v>
      </c>
      <c r="M55" s="40">
        <f>E55-червень!E55</f>
        <v>4779.879999999997</v>
      </c>
      <c r="N55" s="40">
        <f>F55-червень!F55</f>
        <v>1619.4000000000015</v>
      </c>
      <c r="O55" s="148">
        <f t="shared" si="3"/>
        <v>-3160.479999999996</v>
      </c>
      <c r="P55" s="148">
        <f t="shared" si="17"/>
        <v>33.87951161953862</v>
      </c>
      <c r="Q55" s="163">
        <f>N55-4878.99</f>
        <v>-3259.5899999999983</v>
      </c>
      <c r="R55" s="164">
        <f>N55/4878.99</f>
        <v>0.331912957394871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0.36+3751.08</f>
        <v>3751.44</v>
      </c>
      <c r="G56" s="49">
        <f t="shared" si="14"/>
        <v>-198.86000000000013</v>
      </c>
      <c r="H56" s="40">
        <f t="shared" si="15"/>
        <v>94.96595195301623</v>
      </c>
      <c r="I56" s="56">
        <f t="shared" si="18"/>
        <v>-3108.56</v>
      </c>
      <c r="J56" s="56">
        <f t="shared" si="16"/>
        <v>54.68571428571428</v>
      </c>
      <c r="K56" s="56">
        <f>F56-3653.5</f>
        <v>97.94000000000005</v>
      </c>
      <c r="L56" s="135">
        <f>F56/3653.5</f>
        <v>1.0268071712056932</v>
      </c>
      <c r="M56" s="40">
        <f>E56-червень!E56</f>
        <v>552</v>
      </c>
      <c r="N56" s="40">
        <f>F56-червень!F56</f>
        <v>485.3699999999999</v>
      </c>
      <c r="O56" s="53">
        <f t="shared" si="3"/>
        <v>-66.63000000000011</v>
      </c>
      <c r="P56" s="56">
        <f t="shared" si="17"/>
        <v>87.92934782608694</v>
      </c>
      <c r="Q56" s="56">
        <f>N56-464.2</f>
        <v>21.169999999999902</v>
      </c>
      <c r="R56" s="135">
        <f>N56/464.2</f>
        <v>1.0456053425247736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7324.669999999999</v>
      </c>
      <c r="G74" s="50">
        <f aca="true" t="shared" si="24" ref="G74:G92">F74-E74</f>
        <v>-1654.3300000000008</v>
      </c>
      <c r="H74" s="51">
        <f aca="true" t="shared" si="25" ref="H74:H87">F74/E74*100</f>
        <v>81.57556520770686</v>
      </c>
      <c r="I74" s="36">
        <f aca="true" t="shared" si="26" ref="I74:I92">F74-D74</f>
        <v>-11033.630000000001</v>
      </c>
      <c r="J74" s="36">
        <f aca="true" t="shared" si="27" ref="J74:J92">F74/D74*100</f>
        <v>39.898411072920695</v>
      </c>
      <c r="K74" s="36">
        <f>F74-11260</f>
        <v>-3935.330000000001</v>
      </c>
      <c r="L74" s="136">
        <f>F74/11260</f>
        <v>0.6505035523978685</v>
      </c>
      <c r="M74" s="22">
        <f>M77+M86+M88+M89+M94+M95+M96+M97+M99+M87+M104</f>
        <v>1550.5</v>
      </c>
      <c r="N74" s="22">
        <f>N77+N86+N88+N89+N94+N95+N96+N97+N99+N32+N104+N87+N103</f>
        <v>983.0900000000006</v>
      </c>
      <c r="O74" s="55">
        <f aca="true" t="shared" si="28" ref="O74:O92">N74-M74</f>
        <v>-567.4099999999994</v>
      </c>
      <c r="P74" s="36">
        <f>N74/M74*100</f>
        <v>63.40470815865854</v>
      </c>
      <c r="Q74" s="36">
        <f>N74-2110.7</f>
        <v>-1127.6099999999992</v>
      </c>
      <c r="R74" s="136">
        <f>N74/2110.7</f>
        <v>0.46576491211446475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71.59</v>
      </c>
      <c r="G89" s="49">
        <f t="shared" si="24"/>
        <v>-27.409999999999997</v>
      </c>
      <c r="H89" s="40">
        <f>F89/E89*100</f>
        <v>72.31313131313132</v>
      </c>
      <c r="I89" s="56">
        <f t="shared" si="26"/>
        <v>-103.41</v>
      </c>
      <c r="J89" s="56">
        <f t="shared" si="27"/>
        <v>40.908571428571435</v>
      </c>
      <c r="K89" s="56">
        <f>F89-94</f>
        <v>-22.409999999999997</v>
      </c>
      <c r="L89" s="135">
        <f>F89/94</f>
        <v>0.7615957446808511</v>
      </c>
      <c r="M89" s="40">
        <f>E89-червень!E89</f>
        <v>15</v>
      </c>
      <c r="N89" s="40">
        <f>F89-червень!F89</f>
        <v>9.82</v>
      </c>
      <c r="O89" s="53">
        <f t="shared" si="28"/>
        <v>-5.18</v>
      </c>
      <c r="P89" s="56">
        <f>N89/M89*100</f>
        <v>65.46666666666667</v>
      </c>
      <c r="Q89" s="56">
        <f>N89-12.8</f>
        <v>-2.9800000000000004</v>
      </c>
      <c r="R89" s="135">
        <f>N89/12.8</f>
        <v>0.7671875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494.29</v>
      </c>
      <c r="G96" s="49">
        <f t="shared" si="31"/>
        <v>-110.20999999999998</v>
      </c>
      <c r="H96" s="40">
        <f>F96/E96*100</f>
        <v>81.76840363937139</v>
      </c>
      <c r="I96" s="56">
        <f t="shared" si="32"/>
        <v>-705.71</v>
      </c>
      <c r="J96" s="56">
        <f>F96/D96*100</f>
        <v>41.19083333333334</v>
      </c>
      <c r="K96" s="56">
        <f>F96-602.5</f>
        <v>-108.20999999999998</v>
      </c>
      <c r="L96" s="135">
        <f>F96/602.5</f>
        <v>0.8203983402489627</v>
      </c>
      <c r="M96" s="40">
        <f>E96-червень!E96</f>
        <v>130</v>
      </c>
      <c r="N96" s="40">
        <f>F96-червень!F96</f>
        <v>78.96000000000004</v>
      </c>
      <c r="O96" s="53">
        <f t="shared" si="33"/>
        <v>-51.039999999999964</v>
      </c>
      <c r="P96" s="56">
        <f>N96/M96*100</f>
        <v>60.738461538461564</v>
      </c>
      <c r="Q96" s="56">
        <f>N96-139.4</f>
        <v>-60.43999999999997</v>
      </c>
      <c r="R96" s="135">
        <f>N96/139.4</f>
        <v>0.5664275466284077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2271.53</v>
      </c>
      <c r="G99" s="49">
        <f t="shared" si="31"/>
        <v>84.5300000000002</v>
      </c>
      <c r="H99" s="40">
        <f>F99/E99*100</f>
        <v>103.86511202560587</v>
      </c>
      <c r="I99" s="56">
        <f t="shared" si="32"/>
        <v>-2301.1699999999996</v>
      </c>
      <c r="J99" s="56">
        <f>F99/D99*100</f>
        <v>49.675902639578375</v>
      </c>
      <c r="K99" s="56">
        <f>F99-2623.7</f>
        <v>-352.1699999999996</v>
      </c>
      <c r="L99" s="135">
        <f>F99/2623.7</f>
        <v>0.8657735259366545</v>
      </c>
      <c r="M99" s="40">
        <f>E99-червень!E99</f>
        <v>350</v>
      </c>
      <c r="N99" s="40">
        <f>F99-червень!F99</f>
        <v>302.2500000000002</v>
      </c>
      <c r="O99" s="53">
        <f t="shared" si="33"/>
        <v>-47.74999999999977</v>
      </c>
      <c r="P99" s="56">
        <f>N99/M99*100</f>
        <v>86.35714285714292</v>
      </c>
      <c r="Q99" s="56">
        <f>N99-632</f>
        <v>-329.7499999999998</v>
      </c>
      <c r="R99" s="135">
        <f>N99/632</f>
        <v>0.47824367088607633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 t="s">
        <v>258</v>
      </c>
      <c r="G102" s="144"/>
      <c r="H102" s="146"/>
      <c r="I102" s="145"/>
      <c r="J102" s="145"/>
      <c r="K102" s="148" t="e">
        <f>F102-325</f>
        <v>#VALUE!</v>
      </c>
      <c r="L102" s="149" t="e">
        <f>F102/325</f>
        <v>#VALUE!</v>
      </c>
      <c r="M102" s="40">
        <f>E102-червень!E102</f>
        <v>0</v>
      </c>
      <c r="N102" s="40" t="e">
        <f>F102-червень!F102</f>
        <v>#VALUE!</v>
      </c>
      <c r="O102" s="53"/>
      <c r="P102" s="60"/>
      <c r="Q102" s="60" t="e">
        <f>N102-80.2</f>
        <v>#VALUE!</v>
      </c>
      <c r="R102" s="138" t="e">
        <f>N102/80.2</f>
        <v>#VALUE!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259845.04000000004</v>
      </c>
      <c r="G107" s="50">
        <f>F107-E107</f>
        <v>-20386.869999999937</v>
      </c>
      <c r="H107" s="51">
        <f>F107/E107*100</f>
        <v>92.72500051832073</v>
      </c>
      <c r="I107" s="36">
        <f t="shared" si="34"/>
        <v>-247034.55999999994</v>
      </c>
      <c r="J107" s="36">
        <f t="shared" si="36"/>
        <v>51.26366103508605</v>
      </c>
      <c r="K107" s="36">
        <f>F107-279160.4</f>
        <v>-19315.359999999986</v>
      </c>
      <c r="L107" s="136">
        <f>F107/279160.4</f>
        <v>0.9308090975654141</v>
      </c>
      <c r="M107" s="22">
        <f>M8+M74+M105+M106</f>
        <v>39521.680000000015</v>
      </c>
      <c r="N107" s="22">
        <f>N8+N74+N105+N106</f>
        <v>27070.449999999997</v>
      </c>
      <c r="O107" s="55">
        <f t="shared" si="35"/>
        <v>-12451.230000000018</v>
      </c>
      <c r="P107" s="36">
        <f>N107/M107*100</f>
        <v>68.49519048785372</v>
      </c>
      <c r="Q107" s="36">
        <f>N107-42056.4</f>
        <v>-14985.950000000004</v>
      </c>
      <c r="R107" s="136">
        <f>N107/42056.4</f>
        <v>0.6436701667284883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206907.04</v>
      </c>
      <c r="G108" s="71">
        <f>G10-G18+G96</f>
        <v>-15068.560000000005</v>
      </c>
      <c r="H108" s="72">
        <f>F108/E108*100</f>
        <v>93.21161424949409</v>
      </c>
      <c r="I108" s="52">
        <f t="shared" si="34"/>
        <v>-181306.16</v>
      </c>
      <c r="J108" s="52">
        <f t="shared" si="36"/>
        <v>53.29727067497962</v>
      </c>
      <c r="K108" s="52">
        <f>F108-212017.3</f>
        <v>-5110.25999999998</v>
      </c>
      <c r="L108" s="137">
        <f>F108/212017.3</f>
        <v>0.9758969668984561</v>
      </c>
      <c r="M108" s="71">
        <f>M10-M18+M96</f>
        <v>30954.800000000017</v>
      </c>
      <c r="N108" s="71">
        <f>N10-N18+N96</f>
        <v>23493.579999999994</v>
      </c>
      <c r="O108" s="53">
        <f t="shared" si="35"/>
        <v>-7461.220000000023</v>
      </c>
      <c r="P108" s="52">
        <f>N108/M108*100</f>
        <v>75.89640378874999</v>
      </c>
      <c r="Q108" s="52">
        <f>N108-32331.5</f>
        <v>-8837.920000000006</v>
      </c>
      <c r="R108" s="137">
        <f>N108/32331.5</f>
        <v>0.7266467686312109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52938.00000000003</v>
      </c>
      <c r="G109" s="62">
        <f>F109-E109</f>
        <v>-5318.3099999999395</v>
      </c>
      <c r="H109" s="72">
        <f>F109/E109*100</f>
        <v>90.87084300395966</v>
      </c>
      <c r="I109" s="52">
        <f t="shared" si="34"/>
        <v>-65728.39999999994</v>
      </c>
      <c r="J109" s="52">
        <f t="shared" si="36"/>
        <v>44.61077440623466</v>
      </c>
      <c r="K109" s="52">
        <f>F109-67143.1</f>
        <v>-14205.099999999977</v>
      </c>
      <c r="L109" s="137">
        <f>F109/67143.1</f>
        <v>0.7884354460845571</v>
      </c>
      <c r="M109" s="71">
        <f>M107-M108</f>
        <v>8566.879999999997</v>
      </c>
      <c r="N109" s="71">
        <f>N107-N108</f>
        <v>3576.8700000000026</v>
      </c>
      <c r="O109" s="53">
        <f t="shared" si="35"/>
        <v>-4990.009999999995</v>
      </c>
      <c r="P109" s="52">
        <f>N109/M109*100</f>
        <v>41.75230655734647</v>
      </c>
      <c r="Q109" s="52">
        <f>N109-9724.9</f>
        <v>-6148.029999999997</v>
      </c>
      <c r="R109" s="137">
        <f>N109/9924.9</f>
        <v>0.36039355560257563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206907.04</v>
      </c>
      <c r="G110" s="111">
        <f>F110-E110</f>
        <v>-9698.660000000003</v>
      </c>
      <c r="H110" s="72">
        <f>F110/E110*100</f>
        <v>95.52243546684136</v>
      </c>
      <c r="I110" s="81">
        <f t="shared" si="34"/>
        <v>-181306.16</v>
      </c>
      <c r="J110" s="52">
        <f t="shared" si="36"/>
        <v>53.29727067497962</v>
      </c>
      <c r="K110" s="52"/>
      <c r="L110" s="137"/>
      <c r="M110" s="72">
        <f>E110-травень!E109</f>
        <v>65489.30000000002</v>
      </c>
      <c r="N110" s="71">
        <f>N108</f>
        <v>23493.579999999994</v>
      </c>
      <c r="O110" s="118">
        <f t="shared" si="35"/>
        <v>-41995.72000000002</v>
      </c>
      <c r="P110" s="52">
        <f>N110/M110*100</f>
        <v>35.87392138868485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706.3</v>
      </c>
      <c r="G115" s="49">
        <f t="shared" si="37"/>
        <v>-1318.3</v>
      </c>
      <c r="H115" s="40">
        <f aca="true" t="shared" si="39" ref="H115:H126">F115/E115*100</f>
        <v>34.88590338832362</v>
      </c>
      <c r="I115" s="60">
        <f t="shared" si="38"/>
        <v>-2965.2</v>
      </c>
      <c r="J115" s="60">
        <f aca="true" t="shared" si="40" ref="J115:J121">F115/D115*100</f>
        <v>19.237368922783602</v>
      </c>
      <c r="K115" s="60">
        <f>F115-2198.8</f>
        <v>-1492.5000000000002</v>
      </c>
      <c r="L115" s="138">
        <f>F115/2198.8</f>
        <v>0.3212206658177187</v>
      </c>
      <c r="M115" s="40">
        <f>E115-червень!E115</f>
        <v>327.5</v>
      </c>
      <c r="N115" s="40">
        <f>F115-червень!F115</f>
        <v>100.21999999999991</v>
      </c>
      <c r="O115" s="53">
        <f aca="true" t="shared" si="41" ref="O115:O126">N115-M115</f>
        <v>-227.2800000000001</v>
      </c>
      <c r="P115" s="60">
        <f>N115/M115*100</f>
        <v>30.601526717557228</v>
      </c>
      <c r="Q115" s="60">
        <f>N115-307.3</f>
        <v>-207.0800000000001</v>
      </c>
      <c r="R115" s="138">
        <f>N115/307.3</f>
        <v>0.32613081679140876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888.5</v>
      </c>
      <c r="G117" s="62">
        <f t="shared" si="37"/>
        <v>-1292.6</v>
      </c>
      <c r="H117" s="72">
        <f t="shared" si="39"/>
        <v>40.736325707211954</v>
      </c>
      <c r="I117" s="61">
        <f t="shared" si="38"/>
        <v>-3051.1</v>
      </c>
      <c r="J117" s="61">
        <f t="shared" si="40"/>
        <v>22.55305107117474</v>
      </c>
      <c r="K117" s="61">
        <f>F117-2366</f>
        <v>-1477.5</v>
      </c>
      <c r="L117" s="139">
        <f>F117/2366</f>
        <v>0.37552831783601015</v>
      </c>
      <c r="M117" s="62">
        <f>M115+M116+M114</f>
        <v>349.5</v>
      </c>
      <c r="N117" s="38">
        <f>SUM(N114:N116)</f>
        <v>118.34999999999991</v>
      </c>
      <c r="O117" s="61">
        <f t="shared" si="41"/>
        <v>-231.1500000000001</v>
      </c>
      <c r="P117" s="61">
        <f>N117/M117*100</f>
        <v>33.86266094420598</v>
      </c>
      <c r="Q117" s="61">
        <f>N117-335.5</f>
        <v>-217.1500000000001</v>
      </c>
      <c r="R117" s="139">
        <f>N117/335.5</f>
        <v>0.3527570789865869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156.47</v>
      </c>
      <c r="G119" s="49">
        <f t="shared" si="37"/>
        <v>-26.03</v>
      </c>
      <c r="H119" s="40">
        <f t="shared" si="39"/>
        <v>85.73698630136987</v>
      </c>
      <c r="I119" s="60">
        <f t="shared" si="38"/>
        <v>-110.72999999999999</v>
      </c>
      <c r="J119" s="60">
        <f t="shared" si="40"/>
        <v>58.55913173652695</v>
      </c>
      <c r="K119" s="60">
        <f>F119-172.6</f>
        <v>-16.129999999999995</v>
      </c>
      <c r="L119" s="138">
        <f>F119/172.6</f>
        <v>0.9065469293163384</v>
      </c>
      <c r="M119" s="40">
        <f>E119-червень!E119</f>
        <v>73</v>
      </c>
      <c r="N119" s="40">
        <f>F119-червень!F119</f>
        <v>18.189999999999998</v>
      </c>
      <c r="O119" s="53">
        <f>N119-M119</f>
        <v>-54.81</v>
      </c>
      <c r="P119" s="60">
        <f>N119/M119*100</f>
        <v>24.917808219178077</v>
      </c>
      <c r="Q119" s="60">
        <f>N119-76.8</f>
        <v>-58.61</v>
      </c>
      <c r="R119" s="138">
        <f>N119/76.8</f>
        <v>0.2368489583333333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43662.53</v>
      </c>
      <c r="G120" s="49">
        <f t="shared" si="37"/>
        <v>2349.9300000000003</v>
      </c>
      <c r="H120" s="40">
        <f t="shared" si="39"/>
        <v>105.68816777448042</v>
      </c>
      <c r="I120" s="53">
        <f t="shared" si="38"/>
        <v>-28313.460000000006</v>
      </c>
      <c r="J120" s="60">
        <f t="shared" si="40"/>
        <v>60.662632080503506</v>
      </c>
      <c r="K120" s="60">
        <f>F120-39659.2</f>
        <v>4003.3300000000017</v>
      </c>
      <c r="L120" s="138">
        <f>F120/39659.2</f>
        <v>1.1009432868035665</v>
      </c>
      <c r="M120" s="40">
        <f>E120-червень!E120</f>
        <v>7100</v>
      </c>
      <c r="N120" s="40">
        <f>F120-червень!F120</f>
        <v>5608.82</v>
      </c>
      <c r="O120" s="53">
        <f t="shared" si="41"/>
        <v>-1491.1800000000003</v>
      </c>
      <c r="P120" s="60">
        <f aca="true" t="shared" si="42" ref="P120:P125">N120/M120*100</f>
        <v>78.99746478873239</v>
      </c>
      <c r="Q120" s="60">
        <v>7148.5</v>
      </c>
      <c r="R120" s="138">
        <f>N120/7148.5</f>
        <v>0.7846149541861929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1678.12</v>
      </c>
      <c r="G121" s="49">
        <f t="shared" si="37"/>
        <v>-4.880000000000109</v>
      </c>
      <c r="H121" s="40">
        <f t="shared" si="39"/>
        <v>99.71004159239453</v>
      </c>
      <c r="I121" s="60">
        <f t="shared" si="38"/>
        <v>-8321.880000000001</v>
      </c>
      <c r="J121" s="60">
        <f t="shared" si="40"/>
        <v>16.7812</v>
      </c>
      <c r="K121" s="60">
        <f>F121-1120.9</f>
        <v>557.2199999999998</v>
      </c>
      <c r="L121" s="138">
        <f>F121/1120.9</f>
        <v>1.4971183870104379</v>
      </c>
      <c r="M121" s="40">
        <f>E121-червень!E121</f>
        <v>16</v>
      </c>
      <c r="N121" s="40">
        <f>F121-червень!F121</f>
        <v>19.179999999999836</v>
      </c>
      <c r="O121" s="53">
        <f t="shared" si="41"/>
        <v>3.1799999999998363</v>
      </c>
      <c r="P121" s="60">
        <f t="shared" si="42"/>
        <v>119.87499999999898</v>
      </c>
      <c r="Q121" s="60">
        <f>N121-496.3</f>
        <v>-477.1200000000002</v>
      </c>
      <c r="R121" s="138">
        <f>N121/496.3</f>
        <v>0.03864598025387837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2220.84</v>
      </c>
      <c r="G122" s="49">
        <f t="shared" si="37"/>
        <v>-5011.66</v>
      </c>
      <c r="H122" s="40">
        <f t="shared" si="39"/>
        <v>30.706394745938475</v>
      </c>
      <c r="I122" s="60">
        <f t="shared" si="38"/>
        <v>-20857.16</v>
      </c>
      <c r="J122" s="60">
        <f>F122/D122*100</f>
        <v>9.623190917757173</v>
      </c>
      <c r="K122" s="60">
        <f>F122-14177.3</f>
        <v>-11956.46</v>
      </c>
      <c r="L122" s="138">
        <f>F122/14177.3</f>
        <v>0.15664759862597252</v>
      </c>
      <c r="M122" s="40">
        <f>E122-червень!E122</f>
        <v>2409.8999999999996</v>
      </c>
      <c r="N122" s="40">
        <f>F122-червень!F122</f>
        <v>103.71000000000004</v>
      </c>
      <c r="O122" s="53">
        <f t="shared" si="41"/>
        <v>-2306.1899999999996</v>
      </c>
      <c r="P122" s="60">
        <f t="shared" si="42"/>
        <v>4.303498070459357</v>
      </c>
      <c r="Q122" s="60">
        <f>N122-329.4</f>
        <v>-225.68999999999994</v>
      </c>
      <c r="R122" s="138">
        <f>N122/329.4</f>
        <v>0.31484517304189447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48482.18000000001</v>
      </c>
      <c r="G124" s="62">
        <f t="shared" si="37"/>
        <v>-2980.459999999992</v>
      </c>
      <c r="H124" s="72">
        <f t="shared" si="39"/>
        <v>94.20849765966148</v>
      </c>
      <c r="I124" s="61">
        <f t="shared" si="38"/>
        <v>-58839.009999999995</v>
      </c>
      <c r="J124" s="61">
        <f>F124/D124*100</f>
        <v>45.1748438495697</v>
      </c>
      <c r="K124" s="61">
        <f>F124-56479.4</f>
        <v>-7997.219999999994</v>
      </c>
      <c r="L124" s="139">
        <f>F124/56479.4</f>
        <v>0.8584046572732714</v>
      </c>
      <c r="M124" s="62">
        <f>M120+M121+M122+M123+M119</f>
        <v>9788.49</v>
      </c>
      <c r="N124" s="62">
        <f>N120+N121+N122+N123+N119</f>
        <v>5785.8099999999995</v>
      </c>
      <c r="O124" s="61">
        <f t="shared" si="41"/>
        <v>-4002.6800000000003</v>
      </c>
      <c r="P124" s="61">
        <f t="shared" si="42"/>
        <v>59.10829964580849</v>
      </c>
      <c r="Q124" s="61">
        <f>N124-8200.3</f>
        <v>-2414.49</v>
      </c>
      <c r="R124" s="139">
        <f>N124/8200.3</f>
        <v>0.705560772166872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5301.59</v>
      </c>
      <c r="G128" s="49">
        <f aca="true" t="shared" si="43" ref="G128:G135">F128-E128</f>
        <v>286.09000000000015</v>
      </c>
      <c r="H128" s="40">
        <f>F128/E128*100</f>
        <v>105.70411723656665</v>
      </c>
      <c r="I128" s="60">
        <f aca="true" t="shared" si="44" ref="I128:I135">F128-D128</f>
        <v>-3398.41</v>
      </c>
      <c r="J128" s="60">
        <f>F128/D128*100</f>
        <v>60.93781609195402</v>
      </c>
      <c r="K128" s="60">
        <f>F128-6320.8</f>
        <v>-1019.21</v>
      </c>
      <c r="L128" s="138">
        <f>F128/6320.8</f>
        <v>0.8387530059486141</v>
      </c>
      <c r="M128" s="40">
        <f>E128-червень!E128</f>
        <v>3</v>
      </c>
      <c r="N128" s="40">
        <f>F128-червень!F128</f>
        <v>6.029999999999745</v>
      </c>
      <c r="O128" s="53">
        <f aca="true" t="shared" si="45" ref="O128:O135">N128-M128</f>
        <v>3.0299999999997453</v>
      </c>
      <c r="P128" s="60">
        <f>N128/M128*100</f>
        <v>200.9999999999915</v>
      </c>
      <c r="Q128" s="60">
        <f>N128-19.4</f>
        <v>-13.370000000000253</v>
      </c>
      <c r="R128" s="162">
        <f>N128/19.4</f>
        <v>0.31082474226802814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5333.93</v>
      </c>
      <c r="G130" s="62">
        <f t="shared" si="43"/>
        <v>292.0700000000006</v>
      </c>
      <c r="H130" s="72">
        <f>F130/E130*100</f>
        <v>105.79290182591346</v>
      </c>
      <c r="I130" s="61">
        <f t="shared" si="44"/>
        <v>-3416.7700000000004</v>
      </c>
      <c r="J130" s="61">
        <f>F130/D130*100</f>
        <v>60.95432365410767</v>
      </c>
      <c r="K130" s="61">
        <f>F130-6438.4</f>
        <v>-1104.4699999999993</v>
      </c>
      <c r="L130" s="139">
        <f>G130/6438.4</f>
        <v>0.04536375497017903</v>
      </c>
      <c r="M130" s="62">
        <f>M125+M128+M129+M127</f>
        <v>5</v>
      </c>
      <c r="N130" s="62">
        <f>N125+N128+N129+N127</f>
        <v>6.179999999999746</v>
      </c>
      <c r="O130" s="61">
        <f t="shared" si="45"/>
        <v>1.1799999999997457</v>
      </c>
      <c r="P130" s="61">
        <f>N130/M130*100</f>
        <v>123.5999999999949</v>
      </c>
      <c r="Q130" s="61">
        <f>N130-28.2</f>
        <v>-22.020000000000252</v>
      </c>
      <c r="R130" s="137">
        <f>N130/28.2</f>
        <v>0.21914893617020376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54726.600000000006</v>
      </c>
      <c r="G134" s="50">
        <f t="shared" si="43"/>
        <v>-3975.0499999999956</v>
      </c>
      <c r="H134" s="51">
        <f>F134/E134*100</f>
        <v>93.22838455137122</v>
      </c>
      <c r="I134" s="36">
        <f t="shared" si="44"/>
        <v>-65314.89</v>
      </c>
      <c r="J134" s="36">
        <f>F134/D134*100</f>
        <v>45.58973734831183</v>
      </c>
      <c r="K134" s="36">
        <f>F134-65301.1</f>
        <v>-10574.499999999993</v>
      </c>
      <c r="L134" s="136">
        <f>F134/65301.1</f>
        <v>0.8380655149760112</v>
      </c>
      <c r="M134" s="31">
        <f>M117+M131+M124+M130+M133+M132</f>
        <v>10143.39</v>
      </c>
      <c r="N134" s="31">
        <f>N117+N131+N124+N130+N133+N132</f>
        <v>5911.209999999999</v>
      </c>
      <c r="O134" s="36">
        <f t="shared" si="45"/>
        <v>-4232.18</v>
      </c>
      <c r="P134" s="36">
        <f>N134/M134*100</f>
        <v>58.27647364441276</v>
      </c>
      <c r="Q134" s="36">
        <f>N134-8564.5</f>
        <v>-2653.290000000001</v>
      </c>
      <c r="R134" s="136">
        <f>N134/8564.5</f>
        <v>0.6901990775877166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314571.64</v>
      </c>
      <c r="G135" s="50">
        <f t="shared" si="43"/>
        <v>-24361.919999999984</v>
      </c>
      <c r="H135" s="51">
        <f>F135/E135*100</f>
        <v>92.81218419326785</v>
      </c>
      <c r="I135" s="36">
        <f t="shared" si="44"/>
        <v>-312349.44999999995</v>
      </c>
      <c r="J135" s="36">
        <f>F135/D135*100</f>
        <v>50.177230439001505</v>
      </c>
      <c r="K135" s="36">
        <f>F135-344461.4</f>
        <v>-29889.76000000001</v>
      </c>
      <c r="L135" s="136">
        <f>F135/344461.4</f>
        <v>0.9132275488632398</v>
      </c>
      <c r="M135" s="22">
        <f>M107+M134</f>
        <v>49665.070000000014</v>
      </c>
      <c r="N135" s="22">
        <f>N107+N134</f>
        <v>32981.659999999996</v>
      </c>
      <c r="O135" s="36">
        <f t="shared" si="45"/>
        <v>-16683.410000000018</v>
      </c>
      <c r="P135" s="36">
        <f>N135/M135*100</f>
        <v>66.40816171204428</v>
      </c>
      <c r="Q135" s="36">
        <f>N135-50620.9</f>
        <v>-17639.240000000005</v>
      </c>
      <c r="R135" s="136">
        <f>N135/50620.9</f>
        <v>0.6515423471332986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7</v>
      </c>
      <c r="D137" s="4" t="s">
        <v>118</v>
      </c>
    </row>
    <row r="138" spans="2:17" ht="31.5">
      <c r="B138" s="78" t="s">
        <v>154</v>
      </c>
      <c r="C138" s="39">
        <f>IF(O107&lt;0,ABS(O107/C137),0)</f>
        <v>1778.7471428571455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41842</v>
      </c>
      <c r="D139" s="39">
        <v>2531.3</v>
      </c>
      <c r="N139" s="195"/>
      <c r="O139" s="195"/>
    </row>
    <row r="140" spans="3:15" ht="15.75">
      <c r="C140" s="120">
        <v>41841</v>
      </c>
      <c r="D140" s="39">
        <v>1921.4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41838</v>
      </c>
      <c r="D141" s="39">
        <v>1875.9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118277.47775</v>
      </c>
      <c r="E143" s="80"/>
      <c r="F143" s="100" t="s">
        <v>147</v>
      </c>
      <c r="G143" s="196" t="s">
        <v>149</v>
      </c>
      <c r="H143" s="196"/>
      <c r="I143" s="116">
        <v>104452.25579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33357.198979999994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3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33357.198979999994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2014-07-23T07:44:56Z</cp:lastPrinted>
  <dcterms:created xsi:type="dcterms:W3CDTF">2003-07-28T11:27:56Z</dcterms:created>
  <dcterms:modified xsi:type="dcterms:W3CDTF">2014-07-23T07:56:57Z</dcterms:modified>
  <cp:category/>
  <cp:version/>
  <cp:contentType/>
  <cp:contentStatus/>
</cp:coreProperties>
</file>